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\Documents\ELAA\"/>
    </mc:Choice>
  </mc:AlternateContent>
  <workbookProtection workbookPassword="CC6F" lockStructure="1"/>
  <bookViews>
    <workbookView xWindow="90" yWindow="180" windowWidth="10500" windowHeight="9150" firstSheet="1" activeTab="1"/>
  </bookViews>
  <sheets>
    <sheet name="Master" sheetId="1" state="hidden" r:id="rId1"/>
    <sheet name="VGSEC" sheetId="5" r:id="rId2"/>
  </sheets>
  <definedNames>
    <definedName name="Level" localSheetId="1">VGSEC!$A$22:$A$30</definedName>
    <definedName name="Level">Master!$A$28:$A$36</definedName>
    <definedName name="Rate" localSheetId="1">VGSEC!$A$22:$F$30</definedName>
    <definedName name="Rate">Master!$A$28:$F$36</definedName>
    <definedName name="Ratesvgs">VGSEC!$A$22:$F$30</definedName>
  </definedNames>
  <calcPr calcId="152511"/>
</workbook>
</file>

<file path=xl/calcChain.xml><?xml version="1.0" encoding="utf-8"?>
<calcChain xmlns="http://schemas.openxmlformats.org/spreadsheetml/2006/main">
  <c r="A10" i="5" l="1"/>
  <c r="R44" i="5" l="1"/>
  <c r="Q44" i="5"/>
  <c r="R43" i="5"/>
  <c r="Q43" i="5"/>
  <c r="R42" i="5"/>
  <c r="Q42" i="5"/>
  <c r="R41" i="5"/>
  <c r="Q41" i="5"/>
  <c r="C36" i="5"/>
  <c r="D36" i="5" s="1"/>
  <c r="D23" i="5" s="1"/>
  <c r="C37" i="5"/>
  <c r="D37" i="5" s="1"/>
  <c r="D24" i="5" s="1"/>
  <c r="C38" i="5"/>
  <c r="C25" i="5" s="1"/>
  <c r="C39" i="5"/>
  <c r="C26" i="5" s="1"/>
  <c r="C40" i="5"/>
  <c r="C27" i="5" s="1"/>
  <c r="C41" i="5"/>
  <c r="D41" i="5" s="1"/>
  <c r="D28" i="5" s="1"/>
  <c r="C42" i="5"/>
  <c r="C29" i="5" s="1"/>
  <c r="C43" i="5"/>
  <c r="C30" i="5" s="1"/>
  <c r="C35" i="5"/>
  <c r="D35" i="5" s="1"/>
  <c r="D22" i="5" s="1"/>
  <c r="R36" i="5"/>
  <c r="R37" i="5"/>
  <c r="R38" i="5"/>
  <c r="R35" i="5"/>
  <c r="Q36" i="5"/>
  <c r="Q37" i="5"/>
  <c r="Q38" i="5"/>
  <c r="Q35" i="5"/>
  <c r="F30" i="5"/>
  <c r="E30" i="5"/>
  <c r="B30" i="5"/>
  <c r="F29" i="5"/>
  <c r="E29" i="5"/>
  <c r="B29" i="5"/>
  <c r="F28" i="5"/>
  <c r="E28" i="5"/>
  <c r="C28" i="5"/>
  <c r="B28" i="5"/>
  <c r="F27" i="5"/>
  <c r="E27" i="5"/>
  <c r="B27" i="5"/>
  <c r="F26" i="5"/>
  <c r="E26" i="5"/>
  <c r="B26" i="5"/>
  <c r="F25" i="5"/>
  <c r="E25" i="5"/>
  <c r="B25" i="5"/>
  <c r="F24" i="5"/>
  <c r="E24" i="5"/>
  <c r="C24" i="5"/>
  <c r="B24" i="5"/>
  <c r="F23" i="5"/>
  <c r="E23" i="5"/>
  <c r="C23" i="5"/>
  <c r="B23" i="5"/>
  <c r="F22" i="5"/>
  <c r="E17" i="5" s="1"/>
  <c r="F17" i="5" s="1"/>
  <c r="G17" i="5" s="1"/>
  <c r="E22" i="5"/>
  <c r="E16" i="5" s="1"/>
  <c r="F16" i="5" s="1"/>
  <c r="G16" i="5" s="1"/>
  <c r="C22" i="5"/>
  <c r="E14" i="5" s="1"/>
  <c r="F14" i="5" s="1"/>
  <c r="G14" i="5" s="1"/>
  <c r="B22" i="5"/>
  <c r="E13" i="5" s="1"/>
  <c r="F13" i="5" s="1"/>
  <c r="G13" i="5" s="1"/>
  <c r="A17" i="5"/>
  <c r="A16" i="5"/>
  <c r="A15" i="5"/>
  <c r="A14" i="5"/>
  <c r="K11" i="5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9" i="5"/>
  <c r="I6" i="5"/>
  <c r="I5" i="5"/>
  <c r="K4" i="5"/>
  <c r="K5" i="5" s="1"/>
  <c r="K6" i="5" s="1"/>
  <c r="I4" i="5"/>
  <c r="K2" i="5"/>
  <c r="D43" i="5" l="1"/>
  <c r="D30" i="5" s="1"/>
  <c r="D39" i="5"/>
  <c r="D26" i="5" s="1"/>
  <c r="D42" i="5"/>
  <c r="D29" i="5" s="1"/>
  <c r="D40" i="5"/>
  <c r="D27" i="5" s="1"/>
  <c r="D38" i="5"/>
  <c r="C23" i="1"/>
  <c r="C20" i="1"/>
  <c r="C21" i="1"/>
  <c r="C22" i="1"/>
  <c r="C19" i="1"/>
  <c r="I4" i="1"/>
  <c r="I5" i="1"/>
  <c r="I6" i="1"/>
  <c r="C12" i="1"/>
  <c r="C13" i="1" s="1"/>
  <c r="C11" i="1"/>
  <c r="K2" i="1"/>
  <c r="K29" i="1"/>
  <c r="K30" i="1" s="1"/>
  <c r="K31" i="1" s="1"/>
  <c r="K32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H13" i="1" l="1"/>
  <c r="I13" i="1" s="1"/>
  <c r="C14" i="1"/>
  <c r="C15" i="1" s="1"/>
  <c r="H12" i="1"/>
  <c r="I12" i="1" s="1"/>
  <c r="E15" i="5"/>
  <c r="F15" i="5" s="1"/>
  <c r="G15" i="5" s="1"/>
  <c r="G18" i="5" s="1"/>
  <c r="D25" i="5"/>
  <c r="H14" i="1"/>
  <c r="I14" i="1" s="1"/>
  <c r="H15" i="1"/>
  <c r="I15" i="1" s="1"/>
  <c r="C28" i="1" l="1"/>
  <c r="D28" i="1"/>
  <c r="E28" i="1"/>
  <c r="F28" i="1"/>
  <c r="C29" i="1"/>
  <c r="D29" i="1"/>
  <c r="E29" i="1"/>
  <c r="F29" i="1"/>
  <c r="C30" i="1"/>
  <c r="D30" i="1"/>
  <c r="E30" i="1"/>
  <c r="E22" i="1" s="1"/>
  <c r="F22" i="1" s="1"/>
  <c r="F30" i="1"/>
  <c r="E23" i="1" s="1"/>
  <c r="F23" i="1" s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B29" i="1"/>
  <c r="B30" i="1"/>
  <c r="B31" i="1"/>
  <c r="B32" i="1"/>
  <c r="B33" i="1"/>
  <c r="B34" i="1"/>
  <c r="B35" i="1"/>
  <c r="B36" i="1"/>
  <c r="B28" i="1"/>
  <c r="E21" i="1" l="1"/>
  <c r="E20" i="1"/>
  <c r="E19" i="1"/>
  <c r="G22" i="1"/>
  <c r="G23" i="1"/>
  <c r="A21" i="1"/>
  <c r="A22" i="1"/>
  <c r="A23" i="1"/>
  <c r="A20" i="1"/>
  <c r="F19" i="1" l="1"/>
  <c r="G19" i="1" s="1"/>
  <c r="F21" i="1"/>
  <c r="G21" i="1" s="1"/>
  <c r="F20" i="1"/>
  <c r="G20" i="1" s="1"/>
</calcChain>
</file>

<file path=xl/sharedStrings.xml><?xml version="1.0" encoding="utf-8"?>
<sst xmlns="http://schemas.openxmlformats.org/spreadsheetml/2006/main" count="113" uniqueCount="60">
  <si>
    <t>Period from</t>
  </si>
  <si>
    <t>End date</t>
  </si>
  <si>
    <t>Hourly rate paid</t>
  </si>
  <si>
    <t>Entitled hourly rate</t>
  </si>
  <si>
    <t>Rate difference</t>
  </si>
  <si>
    <t>Back pay</t>
  </si>
  <si>
    <t>Current</t>
  </si>
  <si>
    <t>Total casual hours worked</t>
  </si>
  <si>
    <t xml:space="preserve">Total back pay  </t>
  </si>
  <si>
    <t>Level</t>
  </si>
  <si>
    <t>AGL 1</t>
  </si>
  <si>
    <t>AGL 2</t>
  </si>
  <si>
    <t>AGL 3</t>
  </si>
  <si>
    <r>
      <t xml:space="preserve">Table of Entitled Rates  </t>
    </r>
    <r>
      <rPr>
        <sz val="11"/>
        <color theme="1"/>
        <rFont val="Calibri"/>
        <family val="2"/>
        <scheme val="minor"/>
      </rPr>
      <t>(25% loading included)</t>
    </r>
  </si>
  <si>
    <t xml:space="preserve">Table of Entitled Rates </t>
  </si>
  <si>
    <t>Back Pay Calculator for Casual Educators and Activity Group Leaders</t>
  </si>
  <si>
    <t>Employee Name</t>
  </si>
  <si>
    <t>Employee Level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</si>
  <si>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</si>
  <si>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</si>
  <si>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</si>
  <si>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</si>
  <si>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</si>
  <si>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</si>
  <si>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</si>
  <si>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</si>
  <si>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</si>
  <si>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</si>
  <si>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Run 11</t>
  </si>
  <si>
    <t>Run 12</t>
  </si>
  <si>
    <t>Run 13</t>
  </si>
  <si>
    <t>Run 14</t>
  </si>
  <si>
    <t>Run 15</t>
  </si>
  <si>
    <t>Run 16</t>
  </si>
  <si>
    <t>Run 17</t>
  </si>
  <si>
    <t>Run 18</t>
  </si>
  <si>
    <t>Run 19</t>
  </si>
  <si>
    <t>Run 20</t>
  </si>
  <si>
    <t>Run 21</t>
  </si>
  <si>
    <t>Run 22</t>
  </si>
  <si>
    <t>Run 23</t>
  </si>
  <si>
    <t>Run 24</t>
  </si>
  <si>
    <t>Run 25</t>
  </si>
  <si>
    <t>Run 26</t>
  </si>
  <si>
    <t>You will need the number of casual hours worked for each of the periods in the table below.</t>
  </si>
  <si>
    <t>Period start</t>
  </si>
  <si>
    <t>Most payroll systems will produce year to date hours for each type of payment.</t>
  </si>
  <si>
    <t xml:space="preserve">What is the start date of the first pay period that </t>
  </si>
  <si>
    <t>commenced on or after 1 July 2016?</t>
  </si>
  <si>
    <t xml:space="preserve">Pay period start  </t>
  </si>
  <si>
    <t xml:space="preserve">Year to date hours  </t>
  </si>
  <si>
    <t xml:space="preserve">Last pay period start  </t>
  </si>
  <si>
    <t>You can find these by looking at payroll records fortnight by fortnight or</t>
  </si>
  <si>
    <t>subtracting year to date figures for the appropriate periods.</t>
  </si>
  <si>
    <t>You will also need the dollar rate that the employee was paid.</t>
  </si>
  <si>
    <t>Annual</t>
  </si>
  <si>
    <t>weekly</t>
  </si>
  <si>
    <t>hourly</t>
  </si>
  <si>
    <r>
      <t xml:space="preserve">Employee Level </t>
    </r>
    <r>
      <rPr>
        <sz val="11"/>
        <color theme="1"/>
        <rFont val="Calibri"/>
        <family val="2"/>
        <scheme val="minor"/>
      </rPr>
      <t>(select the appropriate level for the staff member from drop down box)</t>
    </r>
  </si>
  <si>
    <t>Back Pay Calculator for Casual Educators and Activity Group Leaders employed in Government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</si>
</sst>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0" fontId="1" fillId="0" borderId="0" xfId="1" applyNumberFormat="1" applyFont="1"/>
    <xf numFmtId="164" fontId="0" fillId="0" borderId="1" xfId="0" applyNumberFormat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/>
    <xf numFmtId="0" fontId="0" fillId="2" borderId="2" xfId="0" applyFont="1" applyFill="1" applyBorder="1"/>
    <xf numFmtId="164" fontId="0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4" fontId="0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5" fillId="0" borderId="0" xfId="0" applyFont="1" applyFill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8" zoomScaleNormal="100" workbookViewId="0">
      <selection activeCell="E54" sqref="E54"/>
    </sheetView>
  </sheetViews>
  <sheetFormatPr defaultRowHeight="15" x14ac:dyDescent="0.25"/>
  <cols>
    <col min="1" max="7" width="10.7109375" style="1" customWidth="1"/>
    <col min="8" max="9" width="0" hidden="1" customWidth="1"/>
    <col min="10" max="11" width="10.5703125" hidden="1" customWidth="1"/>
    <col min="12" max="12" width="0" style="19" hidden="1" customWidth="1"/>
  </cols>
  <sheetData>
    <row r="1" spans="1:12" ht="18" x14ac:dyDescent="0.35">
      <c r="A1" s="28" t="s">
        <v>15</v>
      </c>
      <c r="K1" t="s">
        <v>45</v>
      </c>
    </row>
    <row r="2" spans="1:12" thickBot="1" x14ac:dyDescent="0.35">
      <c r="K2" s="18">
        <f>K3-14</f>
        <v>42550</v>
      </c>
    </row>
    <row r="3" spans="1:12" thickBot="1" x14ac:dyDescent="0.35">
      <c r="A3" s="1" t="s">
        <v>16</v>
      </c>
      <c r="C3" s="46"/>
      <c r="D3" s="47"/>
      <c r="J3" s="18">
        <v>42582</v>
      </c>
      <c r="K3" s="18">
        <v>42564</v>
      </c>
      <c r="L3" s="19" t="s">
        <v>18</v>
      </c>
    </row>
    <row r="4" spans="1:12" thickBot="1" x14ac:dyDescent="0.35">
      <c r="A4" s="1" t="s">
        <v>17</v>
      </c>
      <c r="C4" s="24">
        <v>1.1000000000000001</v>
      </c>
      <c r="I4">
        <f t="shared" ref="I4:I5" si="0">J4-J3</f>
        <v>184</v>
      </c>
      <c r="J4" s="18">
        <v>42766</v>
      </c>
      <c r="K4" s="18">
        <f t="shared" ref="K4:K32" si="1">K3+14</f>
        <v>42578</v>
      </c>
      <c r="L4" s="19" t="s">
        <v>19</v>
      </c>
    </row>
    <row r="5" spans="1:12" ht="14.45" x14ac:dyDescent="0.3">
      <c r="I5">
        <f t="shared" si="0"/>
        <v>150</v>
      </c>
      <c r="J5" s="18">
        <v>42916</v>
      </c>
      <c r="K5" s="18">
        <f t="shared" si="1"/>
        <v>42592</v>
      </c>
      <c r="L5" s="19" t="s">
        <v>20</v>
      </c>
    </row>
    <row r="6" spans="1:12" ht="14.45" x14ac:dyDescent="0.3">
      <c r="A6" s="3" t="s">
        <v>44</v>
      </c>
      <c r="I6">
        <f>J6-J5</f>
        <v>31</v>
      </c>
      <c r="J6" s="18">
        <v>42947</v>
      </c>
      <c r="K6" s="18">
        <f t="shared" si="1"/>
        <v>42606</v>
      </c>
      <c r="L6" s="19" t="s">
        <v>21</v>
      </c>
    </row>
    <row r="7" spans="1:12" ht="14.45" x14ac:dyDescent="0.3">
      <c r="A7" s="3" t="s">
        <v>46</v>
      </c>
      <c r="K7" s="18">
        <f t="shared" si="1"/>
        <v>42620</v>
      </c>
      <c r="L7" s="19" t="s">
        <v>22</v>
      </c>
    </row>
    <row r="8" spans="1:12" thickBot="1" x14ac:dyDescent="0.35">
      <c r="A8" s="3" t="s">
        <v>47</v>
      </c>
      <c r="K8" s="18">
        <f t="shared" si="1"/>
        <v>42634</v>
      </c>
      <c r="L8" s="19" t="s">
        <v>23</v>
      </c>
    </row>
    <row r="9" spans="1:12" thickBot="1" x14ac:dyDescent="0.35">
      <c r="A9" s="3" t="s">
        <v>48</v>
      </c>
      <c r="D9" s="25">
        <v>42564</v>
      </c>
      <c r="K9" s="18">
        <f t="shared" si="1"/>
        <v>42648</v>
      </c>
      <c r="L9" s="19" t="s">
        <v>24</v>
      </c>
    </row>
    <row r="10" spans="1:12" s="3" customFormat="1" thickBot="1" x14ac:dyDescent="0.35">
      <c r="K10" s="21">
        <f t="shared" si="1"/>
        <v>42662</v>
      </c>
      <c r="L10" s="20" t="s">
        <v>25</v>
      </c>
    </row>
    <row r="11" spans="1:12" s="3" customFormat="1" thickBot="1" x14ac:dyDescent="0.35">
      <c r="B11" s="22" t="s">
        <v>49</v>
      </c>
      <c r="C11" s="23">
        <f>D9-14</f>
        <v>42550</v>
      </c>
      <c r="E11" s="22" t="s">
        <v>50</v>
      </c>
      <c r="F11" s="26"/>
      <c r="K11" s="21">
        <f t="shared" si="1"/>
        <v>42676</v>
      </c>
      <c r="L11" s="20" t="s">
        <v>26</v>
      </c>
    </row>
    <row r="12" spans="1:12" s="3" customFormat="1" thickBot="1" x14ac:dyDescent="0.35">
      <c r="B12" s="22" t="s">
        <v>49</v>
      </c>
      <c r="C12" s="23">
        <f>IF(C11+28&gt;J3,C11+14,C11+28)</f>
        <v>42578</v>
      </c>
      <c r="E12" s="22" t="s">
        <v>50</v>
      </c>
      <c r="F12" s="26"/>
      <c r="H12" s="3">
        <f>(C12-C11)/14</f>
        <v>2</v>
      </c>
      <c r="I12" s="3">
        <f>H12*14</f>
        <v>28</v>
      </c>
      <c r="K12" s="21">
        <f t="shared" si="1"/>
        <v>42690</v>
      </c>
      <c r="L12" s="20" t="s">
        <v>27</v>
      </c>
    </row>
    <row r="13" spans="1:12" s="3" customFormat="1" thickBot="1" x14ac:dyDescent="0.35">
      <c r="B13" s="22" t="s">
        <v>49</v>
      </c>
      <c r="C13" s="23">
        <f>IF(C12+196&gt;J4,C12+182,C12+196)</f>
        <v>42760</v>
      </c>
      <c r="E13" s="22" t="s">
        <v>50</v>
      </c>
      <c r="F13" s="26"/>
      <c r="H13" s="3">
        <f t="shared" ref="H13:H15" si="2">(C13-C12)/14</f>
        <v>13</v>
      </c>
      <c r="I13" s="3">
        <f t="shared" ref="I13:I15" si="3">H13*14</f>
        <v>182</v>
      </c>
      <c r="K13" s="21">
        <f t="shared" si="1"/>
        <v>42704</v>
      </c>
      <c r="L13" s="20" t="s">
        <v>28</v>
      </c>
    </row>
    <row r="14" spans="1:12" s="3" customFormat="1" thickBot="1" x14ac:dyDescent="0.35">
      <c r="B14" s="22" t="s">
        <v>49</v>
      </c>
      <c r="C14" s="23">
        <f>IF(C13+154&gt;J5,C13+140,C13+154)</f>
        <v>42914</v>
      </c>
      <c r="E14" s="22" t="s">
        <v>50</v>
      </c>
      <c r="F14" s="26"/>
      <c r="H14" s="3">
        <f t="shared" si="2"/>
        <v>11</v>
      </c>
      <c r="I14" s="3">
        <f t="shared" si="3"/>
        <v>154</v>
      </c>
      <c r="K14" s="21">
        <f t="shared" si="1"/>
        <v>42718</v>
      </c>
      <c r="L14" s="20" t="s">
        <v>29</v>
      </c>
    </row>
    <row r="15" spans="1:12" s="3" customFormat="1" thickBot="1" x14ac:dyDescent="0.35">
      <c r="B15" s="22" t="s">
        <v>49</v>
      </c>
      <c r="C15" s="23">
        <f>IF(C14+28&gt;J6,C14+14,C14+28)</f>
        <v>42942</v>
      </c>
      <c r="E15" s="22" t="s">
        <v>50</v>
      </c>
      <c r="F15" s="26"/>
      <c r="H15" s="3">
        <f t="shared" si="2"/>
        <v>2</v>
      </c>
      <c r="I15" s="3">
        <f t="shared" si="3"/>
        <v>28</v>
      </c>
      <c r="K15" s="21">
        <f t="shared" si="1"/>
        <v>42732</v>
      </c>
      <c r="L15" s="20" t="s">
        <v>30</v>
      </c>
    </row>
    <row r="16" spans="1:12" s="3" customFormat="1" thickBot="1" x14ac:dyDescent="0.35">
      <c r="B16" s="22" t="s">
        <v>51</v>
      </c>
      <c r="C16" s="26"/>
      <c r="F16" s="26"/>
      <c r="K16" s="21">
        <f t="shared" si="1"/>
        <v>42746</v>
      </c>
      <c r="L16" s="20" t="s">
        <v>31</v>
      </c>
    </row>
    <row r="17" spans="1:12" ht="14.45" x14ac:dyDescent="0.3">
      <c r="K17" s="18">
        <f t="shared" si="1"/>
        <v>42760</v>
      </c>
      <c r="L17" s="19" t="s">
        <v>32</v>
      </c>
    </row>
    <row r="18" spans="1:12" s="2" customFormat="1" ht="57.6" x14ac:dyDescent="0.3">
      <c r="A18" s="5" t="s">
        <v>0</v>
      </c>
      <c r="B18" s="5" t="s">
        <v>1</v>
      </c>
      <c r="C18" s="5" t="s">
        <v>7</v>
      </c>
      <c r="D18" s="5" t="s">
        <v>2</v>
      </c>
      <c r="E18" s="5" t="s">
        <v>3</v>
      </c>
      <c r="F18" s="5" t="s">
        <v>4</v>
      </c>
      <c r="G18" s="5" t="s">
        <v>5</v>
      </c>
      <c r="K18" s="18">
        <f t="shared" si="1"/>
        <v>42774</v>
      </c>
      <c r="L18" s="19" t="s">
        <v>33</v>
      </c>
    </row>
    <row r="19" spans="1:12" s="3" customFormat="1" ht="14.45" x14ac:dyDescent="0.3">
      <c r="A19" s="6">
        <v>42552</v>
      </c>
      <c r="B19" s="6">
        <v>42582</v>
      </c>
      <c r="C19" s="7">
        <f>F12-F11</f>
        <v>0</v>
      </c>
      <c r="D19" s="27"/>
      <c r="E19" s="8">
        <f>VLOOKUP($C$4,Rate,2,FALSE)</f>
        <v>25.76</v>
      </c>
      <c r="F19" s="8">
        <f>IF(E19-D19&gt;0,E19-D19,0)</f>
        <v>25.76</v>
      </c>
      <c r="G19" s="8">
        <f>F19*C19</f>
        <v>0</v>
      </c>
      <c r="K19" s="18">
        <f t="shared" si="1"/>
        <v>42788</v>
      </c>
      <c r="L19" s="19" t="s">
        <v>34</v>
      </c>
    </row>
    <row r="20" spans="1:12" s="3" customFormat="1" ht="14.45" x14ac:dyDescent="0.3">
      <c r="A20" s="6">
        <f>B19+1</f>
        <v>42583</v>
      </c>
      <c r="B20" s="6">
        <v>42766</v>
      </c>
      <c r="C20" s="7">
        <f t="shared" ref="C20:C22" si="4">F13-F12</f>
        <v>0</v>
      </c>
      <c r="D20" s="27"/>
      <c r="E20" s="8">
        <f>VLOOKUP($C$4,Rate,3,FALSE)</f>
        <v>25.76</v>
      </c>
      <c r="F20" s="8">
        <f t="shared" ref="F20:F23" si="5">IF(E20-D20&gt;0,E20-D20,0)</f>
        <v>25.76</v>
      </c>
      <c r="G20" s="8">
        <f t="shared" ref="G20:G23" si="6">F20*C20</f>
        <v>0</v>
      </c>
      <c r="K20" s="18">
        <f t="shared" si="1"/>
        <v>42802</v>
      </c>
      <c r="L20" s="19" t="s">
        <v>35</v>
      </c>
    </row>
    <row r="21" spans="1:12" s="3" customFormat="1" ht="14.45" x14ac:dyDescent="0.3">
      <c r="A21" s="6">
        <f t="shared" ref="A21:A23" si="7">B20+1</f>
        <v>42767</v>
      </c>
      <c r="B21" s="6">
        <v>42916</v>
      </c>
      <c r="C21" s="7">
        <f t="shared" si="4"/>
        <v>0</v>
      </c>
      <c r="D21" s="27"/>
      <c r="E21" s="8">
        <f>VLOOKUP($C$4,Rate,4,FALSE)</f>
        <v>25.76</v>
      </c>
      <c r="F21" s="8">
        <f t="shared" si="5"/>
        <v>25.76</v>
      </c>
      <c r="G21" s="8">
        <f t="shared" si="6"/>
        <v>0</v>
      </c>
      <c r="K21" s="18">
        <f t="shared" si="1"/>
        <v>42816</v>
      </c>
      <c r="L21" s="19" t="s">
        <v>36</v>
      </c>
    </row>
    <row r="22" spans="1:12" s="3" customFormat="1" ht="14.45" x14ac:dyDescent="0.3">
      <c r="A22" s="6">
        <f t="shared" si="7"/>
        <v>42917</v>
      </c>
      <c r="B22" s="6">
        <v>42947</v>
      </c>
      <c r="C22" s="7">
        <f t="shared" si="4"/>
        <v>0</v>
      </c>
      <c r="D22" s="27"/>
      <c r="E22" s="8">
        <f>VLOOKUP($C$4,Rate,5,FALSE)</f>
        <v>27</v>
      </c>
      <c r="F22" s="8">
        <f t="shared" si="5"/>
        <v>27</v>
      </c>
      <c r="G22" s="8">
        <f t="shared" si="6"/>
        <v>0</v>
      </c>
      <c r="K22" s="18">
        <f t="shared" si="1"/>
        <v>42830</v>
      </c>
      <c r="L22" s="19" t="s">
        <v>37</v>
      </c>
    </row>
    <row r="23" spans="1:12" s="3" customFormat="1" ht="14.45" x14ac:dyDescent="0.3">
      <c r="A23" s="6">
        <f t="shared" si="7"/>
        <v>42948</v>
      </c>
      <c r="B23" s="7" t="s">
        <v>6</v>
      </c>
      <c r="C23" s="7">
        <f>F16-F15</f>
        <v>0</v>
      </c>
      <c r="D23" s="27"/>
      <c r="E23" s="8">
        <f>VLOOKUP($C$4,Rate,6,FALSE)</f>
        <v>27.4</v>
      </c>
      <c r="F23" s="8">
        <f t="shared" si="5"/>
        <v>27.4</v>
      </c>
      <c r="G23" s="8">
        <f t="shared" si="6"/>
        <v>0</v>
      </c>
      <c r="K23" s="18">
        <f t="shared" si="1"/>
        <v>42844</v>
      </c>
      <c r="L23" s="19" t="s">
        <v>38</v>
      </c>
    </row>
    <row r="24" spans="1:12" s="12" customFormat="1" ht="15.6" x14ac:dyDescent="0.3">
      <c r="A24" s="9"/>
      <c r="B24" s="9"/>
      <c r="C24" s="9"/>
      <c r="D24" s="9"/>
      <c r="E24" s="9"/>
      <c r="F24" s="10" t="s">
        <v>8</v>
      </c>
      <c r="G24" s="11"/>
      <c r="K24" s="18">
        <f t="shared" si="1"/>
        <v>42858</v>
      </c>
      <c r="L24" s="19" t="s">
        <v>39</v>
      </c>
    </row>
    <row r="25" spans="1:12" s="3" customFormat="1" ht="14.45" x14ac:dyDescent="0.3">
      <c r="A25" s="4"/>
      <c r="B25" s="4"/>
      <c r="C25" s="4"/>
      <c r="D25" s="4"/>
      <c r="E25" s="4"/>
      <c r="F25" s="4"/>
      <c r="G25" s="4"/>
      <c r="K25" s="18">
        <f t="shared" si="1"/>
        <v>42872</v>
      </c>
      <c r="L25" s="19" t="s">
        <v>40</v>
      </c>
    </row>
    <row r="26" spans="1:12" s="3" customFormat="1" ht="14.45" x14ac:dyDescent="0.3">
      <c r="A26" s="13" t="s">
        <v>13</v>
      </c>
      <c r="B26" s="4"/>
      <c r="C26" s="4"/>
      <c r="D26" s="4"/>
      <c r="E26" s="4"/>
      <c r="F26" s="4"/>
      <c r="G26" s="4"/>
      <c r="K26" s="18">
        <f t="shared" si="1"/>
        <v>42886</v>
      </c>
      <c r="L26" s="19" t="s">
        <v>41</v>
      </c>
    </row>
    <row r="27" spans="1:12" s="3" customFormat="1" ht="14.45" x14ac:dyDescent="0.3">
      <c r="A27" s="14" t="s">
        <v>9</v>
      </c>
      <c r="B27" s="15">
        <v>42552</v>
      </c>
      <c r="C27" s="15">
        <v>42583</v>
      </c>
      <c r="D27" s="15">
        <v>42767</v>
      </c>
      <c r="E27" s="15">
        <v>42917</v>
      </c>
      <c r="F27" s="15">
        <v>42948</v>
      </c>
      <c r="K27" s="18">
        <f t="shared" si="1"/>
        <v>42900</v>
      </c>
      <c r="L27" s="19" t="s">
        <v>42</v>
      </c>
    </row>
    <row r="28" spans="1:12" s="3" customFormat="1" ht="14.45" x14ac:dyDescent="0.3">
      <c r="A28" s="14">
        <v>1.1000000000000001</v>
      </c>
      <c r="B28" s="8">
        <f>ROUND(B41*1.25,2)</f>
        <v>25.76</v>
      </c>
      <c r="C28" s="8">
        <f t="shared" ref="C28:F28" si="8">ROUND(C41*1.25,2)</f>
        <v>25.76</v>
      </c>
      <c r="D28" s="8">
        <f t="shared" si="8"/>
        <v>25.76</v>
      </c>
      <c r="E28" s="8">
        <f t="shared" si="8"/>
        <v>27</v>
      </c>
      <c r="F28" s="8">
        <f t="shared" si="8"/>
        <v>27.4</v>
      </c>
      <c r="G28" s="4"/>
      <c r="K28" s="18">
        <f t="shared" si="1"/>
        <v>42914</v>
      </c>
      <c r="L28" s="19" t="s">
        <v>43</v>
      </c>
    </row>
    <row r="29" spans="1:12" s="3" customFormat="1" ht="14.45" x14ac:dyDescent="0.3">
      <c r="A29" s="14">
        <v>1.2</v>
      </c>
      <c r="B29" s="8">
        <f t="shared" ref="B29:F36" si="9">ROUND(B42*1.25,2)</f>
        <v>26.65</v>
      </c>
      <c r="C29" s="8">
        <f t="shared" si="9"/>
        <v>26.65</v>
      </c>
      <c r="D29" s="8">
        <f t="shared" si="9"/>
        <v>26.65</v>
      </c>
      <c r="E29" s="8">
        <f t="shared" si="9"/>
        <v>27.55</v>
      </c>
      <c r="F29" s="8">
        <f t="shared" si="9"/>
        <v>27.96</v>
      </c>
      <c r="K29" s="18">
        <f t="shared" si="1"/>
        <v>42928</v>
      </c>
      <c r="L29" s="20"/>
    </row>
    <row r="30" spans="1:12" s="3" customFormat="1" ht="14.45" x14ac:dyDescent="0.3">
      <c r="A30" s="14">
        <v>1.3</v>
      </c>
      <c r="B30" s="8">
        <f t="shared" si="9"/>
        <v>27.49</v>
      </c>
      <c r="C30" s="8">
        <f t="shared" si="9"/>
        <v>27.49</v>
      </c>
      <c r="D30" s="8">
        <f t="shared" si="9"/>
        <v>27.49</v>
      </c>
      <c r="E30" s="8">
        <f t="shared" si="9"/>
        <v>28.4</v>
      </c>
      <c r="F30" s="8">
        <f t="shared" si="9"/>
        <v>28.53</v>
      </c>
      <c r="K30" s="18">
        <f t="shared" si="1"/>
        <v>42942</v>
      </c>
      <c r="L30" s="20"/>
    </row>
    <row r="31" spans="1:12" s="3" customFormat="1" ht="14.45" x14ac:dyDescent="0.3">
      <c r="A31" s="14">
        <v>1.4</v>
      </c>
      <c r="B31" s="8">
        <f t="shared" si="9"/>
        <v>27.49</v>
      </c>
      <c r="C31" s="8">
        <f t="shared" si="9"/>
        <v>27.49</v>
      </c>
      <c r="D31" s="8">
        <f t="shared" si="9"/>
        <v>27.49</v>
      </c>
      <c r="E31" s="8">
        <f t="shared" si="9"/>
        <v>28.65</v>
      </c>
      <c r="F31" s="8">
        <f t="shared" si="9"/>
        <v>29.08</v>
      </c>
      <c r="K31" s="18">
        <f t="shared" si="1"/>
        <v>42956</v>
      </c>
      <c r="L31" s="20"/>
    </row>
    <row r="32" spans="1:12" s="3" customFormat="1" ht="14.45" x14ac:dyDescent="0.3">
      <c r="A32" s="14">
        <v>1.5</v>
      </c>
      <c r="B32" s="8">
        <f t="shared" si="9"/>
        <v>27.49</v>
      </c>
      <c r="C32" s="8">
        <f t="shared" si="9"/>
        <v>27.49</v>
      </c>
      <c r="D32" s="8">
        <f t="shared" si="9"/>
        <v>27.49</v>
      </c>
      <c r="E32" s="8">
        <f t="shared" si="9"/>
        <v>29.2</v>
      </c>
      <c r="F32" s="8">
        <f t="shared" si="9"/>
        <v>29.64</v>
      </c>
      <c r="K32" s="18">
        <f t="shared" si="1"/>
        <v>42970</v>
      </c>
      <c r="L32" s="20"/>
    </row>
    <row r="33" spans="1:12" s="3" customFormat="1" ht="14.45" x14ac:dyDescent="0.3">
      <c r="A33" s="14">
        <v>2.1</v>
      </c>
      <c r="B33" s="8">
        <f t="shared" si="9"/>
        <v>29.01</v>
      </c>
      <c r="C33" s="8">
        <f t="shared" si="9"/>
        <v>29.01</v>
      </c>
      <c r="D33" s="8">
        <f t="shared" si="9"/>
        <v>29.01</v>
      </c>
      <c r="E33" s="8">
        <f t="shared" si="9"/>
        <v>29.96</v>
      </c>
      <c r="F33" s="8">
        <f t="shared" si="9"/>
        <v>30.2</v>
      </c>
      <c r="L33" s="20"/>
    </row>
    <row r="34" spans="1:12" ht="14.45" x14ac:dyDescent="0.3">
      <c r="A34" s="14" t="s">
        <v>10</v>
      </c>
      <c r="B34" s="8">
        <f t="shared" si="9"/>
        <v>30.35</v>
      </c>
      <c r="C34" s="8">
        <f t="shared" si="9"/>
        <v>30.35</v>
      </c>
      <c r="D34" s="8">
        <f t="shared" si="9"/>
        <v>30.35</v>
      </c>
      <c r="E34" s="8">
        <f t="shared" si="9"/>
        <v>31.35</v>
      </c>
      <c r="F34" s="8">
        <f t="shared" si="9"/>
        <v>31.46</v>
      </c>
    </row>
    <row r="35" spans="1:12" ht="14.45" x14ac:dyDescent="0.3">
      <c r="A35" s="14" t="s">
        <v>11</v>
      </c>
      <c r="B35" s="8">
        <f t="shared" si="9"/>
        <v>30.81</v>
      </c>
      <c r="C35" s="8">
        <f t="shared" si="9"/>
        <v>30.81</v>
      </c>
      <c r="D35" s="8">
        <f t="shared" si="9"/>
        <v>30.81</v>
      </c>
      <c r="E35" s="8">
        <f t="shared" si="9"/>
        <v>31.83</v>
      </c>
      <c r="F35" s="8">
        <f t="shared" si="9"/>
        <v>31.94</v>
      </c>
    </row>
    <row r="36" spans="1:12" ht="14.45" x14ac:dyDescent="0.3">
      <c r="A36" s="14" t="s">
        <v>12</v>
      </c>
      <c r="B36" s="8">
        <f t="shared" si="9"/>
        <v>31.28</v>
      </c>
      <c r="C36" s="8">
        <f t="shared" si="9"/>
        <v>31.28</v>
      </c>
      <c r="D36" s="8">
        <f t="shared" si="9"/>
        <v>31.28</v>
      </c>
      <c r="E36" s="8">
        <f t="shared" si="9"/>
        <v>32.299999999999997</v>
      </c>
      <c r="F36" s="8">
        <f t="shared" si="9"/>
        <v>32.409999999999997</v>
      </c>
    </row>
    <row r="39" spans="1:12" ht="14.45" x14ac:dyDescent="0.3">
      <c r="A39" s="13" t="s">
        <v>14</v>
      </c>
      <c r="B39" s="4"/>
      <c r="C39" s="4"/>
      <c r="D39" s="4"/>
      <c r="E39" s="4"/>
      <c r="F39" s="4"/>
    </row>
    <row r="40" spans="1:12" ht="14.45" x14ac:dyDescent="0.3">
      <c r="A40" s="14" t="s">
        <v>9</v>
      </c>
      <c r="B40" s="15">
        <v>42552</v>
      </c>
      <c r="C40" s="15">
        <v>42583</v>
      </c>
      <c r="D40" s="15">
        <v>42767</v>
      </c>
      <c r="E40" s="15">
        <v>42917</v>
      </c>
      <c r="F40" s="15">
        <v>42948</v>
      </c>
    </row>
    <row r="41" spans="1:12" ht="14.45" x14ac:dyDescent="0.3">
      <c r="A41" s="14">
        <v>1.1000000000000001</v>
      </c>
      <c r="B41" s="8">
        <v>20.61</v>
      </c>
      <c r="C41" s="8">
        <v>20.61</v>
      </c>
      <c r="D41" s="8">
        <v>20.61</v>
      </c>
      <c r="E41" s="8">
        <v>21.6</v>
      </c>
      <c r="F41" s="8">
        <v>21.92</v>
      </c>
      <c r="G41" s="16"/>
    </row>
    <row r="42" spans="1:12" ht="14.45" x14ac:dyDescent="0.3">
      <c r="A42" s="14">
        <v>1.2</v>
      </c>
      <c r="B42" s="17">
        <v>21.32</v>
      </c>
      <c r="C42" s="17">
        <v>21.32</v>
      </c>
      <c r="D42" s="17">
        <v>21.32</v>
      </c>
      <c r="E42" s="17">
        <v>22.04</v>
      </c>
      <c r="F42" s="17">
        <v>22.37</v>
      </c>
      <c r="G42" s="16"/>
    </row>
    <row r="43" spans="1:12" ht="14.45" x14ac:dyDescent="0.3">
      <c r="A43" s="14">
        <v>1.3</v>
      </c>
      <c r="B43" s="17">
        <v>21.99</v>
      </c>
      <c r="C43" s="17">
        <v>21.99</v>
      </c>
      <c r="D43" s="17">
        <v>21.99</v>
      </c>
      <c r="E43" s="17">
        <v>22.72</v>
      </c>
      <c r="F43" s="17">
        <v>22.82</v>
      </c>
      <c r="G43" s="16"/>
    </row>
    <row r="44" spans="1:12" ht="14.45" x14ac:dyDescent="0.3">
      <c r="A44" s="14">
        <v>1.4</v>
      </c>
      <c r="B44" s="17">
        <v>21.99</v>
      </c>
      <c r="C44" s="17">
        <v>21.99</v>
      </c>
      <c r="D44" s="17">
        <v>21.99</v>
      </c>
      <c r="E44" s="17">
        <v>22.92</v>
      </c>
      <c r="F44" s="17">
        <v>23.26</v>
      </c>
      <c r="G44" s="16"/>
    </row>
    <row r="45" spans="1:12" ht="14.45" x14ac:dyDescent="0.3">
      <c r="A45" s="14">
        <v>1.5</v>
      </c>
      <c r="B45" s="17">
        <v>21.99</v>
      </c>
      <c r="C45" s="17">
        <v>21.99</v>
      </c>
      <c r="D45" s="17">
        <v>21.99</v>
      </c>
      <c r="E45" s="17">
        <v>23.36</v>
      </c>
      <c r="F45" s="17">
        <v>23.71</v>
      </c>
      <c r="G45" s="16"/>
    </row>
    <row r="46" spans="1:12" ht="14.45" x14ac:dyDescent="0.3">
      <c r="A46" s="14">
        <v>2.1</v>
      </c>
      <c r="B46" s="17">
        <v>23.21</v>
      </c>
      <c r="C46" s="17">
        <v>23.21</v>
      </c>
      <c r="D46" s="17">
        <v>23.21</v>
      </c>
      <c r="E46" s="17">
        <v>23.97</v>
      </c>
      <c r="F46" s="17">
        <v>24.16</v>
      </c>
      <c r="G46" s="16"/>
    </row>
    <row r="47" spans="1:12" ht="14.45" x14ac:dyDescent="0.3">
      <c r="A47" s="14" t="s">
        <v>10</v>
      </c>
      <c r="B47" s="17">
        <v>24.28</v>
      </c>
      <c r="C47" s="17">
        <v>24.28</v>
      </c>
      <c r="D47" s="17">
        <v>24.28</v>
      </c>
      <c r="E47" s="17">
        <v>25.08</v>
      </c>
      <c r="F47" s="17">
        <v>25.17</v>
      </c>
      <c r="G47" s="16"/>
    </row>
    <row r="48" spans="1:12" ht="14.45" x14ac:dyDescent="0.3">
      <c r="A48" s="14" t="s">
        <v>11</v>
      </c>
      <c r="B48" s="17">
        <v>24.65</v>
      </c>
      <c r="C48" s="17">
        <v>24.65</v>
      </c>
      <c r="D48" s="17">
        <v>24.65</v>
      </c>
      <c r="E48" s="17">
        <v>25.46</v>
      </c>
      <c r="F48" s="17">
        <v>25.55</v>
      </c>
      <c r="G48" s="16"/>
    </row>
    <row r="49" spans="1:7" ht="14.45" x14ac:dyDescent="0.3">
      <c r="A49" s="14" t="s">
        <v>12</v>
      </c>
      <c r="B49" s="17">
        <v>25.02</v>
      </c>
      <c r="C49" s="17">
        <v>25.02</v>
      </c>
      <c r="D49" s="17">
        <v>25.02</v>
      </c>
      <c r="E49" s="17">
        <v>25.84</v>
      </c>
      <c r="F49" s="17">
        <v>25.93</v>
      </c>
      <c r="G49" s="16"/>
    </row>
  </sheetData>
  <mergeCells count="1">
    <mergeCell ref="C3:D3"/>
  </mergeCells>
  <dataValidations count="1">
    <dataValidation type="list" allowBlank="1" showInputMessage="1" showErrorMessage="1" sqref="C4">
      <formula1>Level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Normal="100" workbookViewId="0">
      <selection activeCell="Q7" sqref="Q7:Q8"/>
    </sheetView>
  </sheetViews>
  <sheetFormatPr defaultRowHeight="15" x14ac:dyDescent="0.25"/>
  <cols>
    <col min="1" max="2" width="10.7109375" style="1" customWidth="1"/>
    <col min="3" max="3" width="12.140625" style="1" customWidth="1"/>
    <col min="4" max="4" width="12.42578125" style="1" customWidth="1"/>
    <col min="5" max="7" width="10.7109375" style="1" customWidth="1"/>
    <col min="8" max="9" width="0" hidden="1" customWidth="1"/>
    <col min="10" max="11" width="10.5703125" hidden="1" customWidth="1"/>
    <col min="12" max="12" width="0" style="19" hidden="1" customWidth="1"/>
  </cols>
  <sheetData>
    <row r="1" spans="1:13" ht="49.5" customHeight="1" x14ac:dyDescent="0.25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5.75" thickBot="1" x14ac:dyDescent="0.3">
      <c r="A2" s="39"/>
      <c r="B2" s="39"/>
      <c r="C2" s="39"/>
      <c r="D2" s="39"/>
      <c r="E2" s="39"/>
      <c r="F2" s="39"/>
      <c r="G2" s="39"/>
      <c r="K2" s="18">
        <f>K3-14</f>
        <v>42550</v>
      </c>
    </row>
    <row r="3" spans="1:13" ht="15.75" thickBot="1" x14ac:dyDescent="0.3">
      <c r="A3" s="39" t="s">
        <v>16</v>
      </c>
      <c r="B3" s="39"/>
      <c r="C3" s="48"/>
      <c r="D3" s="49"/>
      <c r="E3" s="39"/>
      <c r="F3" s="39"/>
      <c r="G3" s="39"/>
      <c r="J3" s="18">
        <v>42582</v>
      </c>
      <c r="K3" s="18">
        <v>42564</v>
      </c>
      <c r="L3" s="19" t="s">
        <v>18</v>
      </c>
    </row>
    <row r="4" spans="1:13" ht="63" customHeight="1" thickBot="1" x14ac:dyDescent="0.3">
      <c r="A4" s="50" t="s">
        <v>58</v>
      </c>
      <c r="B4" s="51"/>
      <c r="C4" s="29">
        <v>1.1000000000000001</v>
      </c>
      <c r="D4" s="30"/>
      <c r="E4" s="39"/>
      <c r="F4" s="39"/>
      <c r="G4" s="39"/>
      <c r="I4">
        <f t="shared" ref="I4:I5" si="0">J4-J3</f>
        <v>184</v>
      </c>
      <c r="J4" s="18">
        <v>42766</v>
      </c>
      <c r="K4" s="18">
        <f t="shared" ref="K4:K26" si="1">K3+14</f>
        <v>42578</v>
      </c>
      <c r="L4" s="19" t="s">
        <v>19</v>
      </c>
    </row>
    <row r="5" spans="1:13" x14ac:dyDescent="0.25">
      <c r="A5" s="39"/>
      <c r="B5" s="39"/>
      <c r="C5" s="39"/>
      <c r="D5" s="39"/>
      <c r="E5" s="39"/>
      <c r="F5" s="39"/>
      <c r="G5" s="39"/>
      <c r="I5">
        <f t="shared" si="0"/>
        <v>150</v>
      </c>
      <c r="J5" s="18">
        <v>42916</v>
      </c>
      <c r="K5" s="18">
        <f t="shared" si="1"/>
        <v>42592</v>
      </c>
      <c r="L5" s="19" t="s">
        <v>20</v>
      </c>
    </row>
    <row r="6" spans="1:13" ht="14.45" x14ac:dyDescent="0.3">
      <c r="A6" s="40" t="s">
        <v>44</v>
      </c>
      <c r="B6" s="39"/>
      <c r="C6" s="39"/>
      <c r="D6" s="39"/>
      <c r="E6" s="39"/>
      <c r="F6" s="39"/>
      <c r="G6" s="39"/>
      <c r="I6">
        <f>J6-J5</f>
        <v>31</v>
      </c>
      <c r="J6" s="18">
        <v>42947</v>
      </c>
      <c r="K6" s="18">
        <f t="shared" si="1"/>
        <v>42606</v>
      </c>
      <c r="L6" s="19" t="s">
        <v>21</v>
      </c>
    </row>
    <row r="7" spans="1:13" s="3" customFormat="1" ht="14.45" x14ac:dyDescent="0.3">
      <c r="A7" s="40" t="s">
        <v>54</v>
      </c>
      <c r="B7" s="40"/>
      <c r="C7" s="40"/>
      <c r="D7" s="40"/>
      <c r="E7" s="40"/>
      <c r="F7" s="40"/>
      <c r="G7" s="40"/>
      <c r="K7" s="21"/>
      <c r="L7" s="20"/>
    </row>
    <row r="8" spans="1:13" s="3" customFormat="1" ht="14.45" x14ac:dyDescent="0.3">
      <c r="A8" s="40" t="s">
        <v>52</v>
      </c>
      <c r="B8" s="40"/>
      <c r="C8" s="40"/>
      <c r="D8" s="40"/>
      <c r="E8" s="40"/>
      <c r="F8" s="40"/>
      <c r="G8" s="40"/>
      <c r="K8" s="21"/>
      <c r="L8" s="20"/>
    </row>
    <row r="9" spans="1:13" s="3" customFormat="1" ht="14.45" x14ac:dyDescent="0.3">
      <c r="A9" s="40" t="s">
        <v>53</v>
      </c>
      <c r="B9" s="40"/>
      <c r="C9" s="40"/>
      <c r="D9" s="40"/>
      <c r="E9" s="40"/>
      <c r="F9" s="40"/>
      <c r="G9" s="40"/>
      <c r="K9" s="21" t="e">
        <f>#REF!+14</f>
        <v>#REF!</v>
      </c>
      <c r="L9" s="20" t="s">
        <v>25</v>
      </c>
    </row>
    <row r="10" spans="1:13" s="3" customFormat="1" ht="14.45" x14ac:dyDescent="0.3">
      <c r="A10" s="40" t="e">
        <f>#REF!</f>
        <v>#REF!</v>
      </c>
      <c r="B10" s="40"/>
      <c r="C10" s="40"/>
      <c r="D10" s="40"/>
      <c r="E10" s="40"/>
      <c r="F10" s="40"/>
      <c r="G10" s="40"/>
      <c r="K10" s="21"/>
      <c r="L10" s="20"/>
    </row>
    <row r="11" spans="1:13" ht="14.45" x14ac:dyDescent="0.3">
      <c r="A11" s="39"/>
      <c r="B11" s="39"/>
      <c r="C11" s="39"/>
      <c r="D11" s="39"/>
      <c r="E11" s="39"/>
      <c r="F11" s="39"/>
      <c r="G11" s="39"/>
      <c r="K11" s="18" t="e">
        <f>#REF!+14</f>
        <v>#REF!</v>
      </c>
      <c r="L11" s="19" t="s">
        <v>32</v>
      </c>
    </row>
    <row r="12" spans="1:13" s="2" customFormat="1" ht="57.6" x14ac:dyDescent="0.3">
      <c r="A12" s="41" t="s">
        <v>0</v>
      </c>
      <c r="B12" s="41" t="s">
        <v>1</v>
      </c>
      <c r="C12" s="41" t="s">
        <v>7</v>
      </c>
      <c r="D12" s="41" t="s">
        <v>2</v>
      </c>
      <c r="E12" s="41" t="s">
        <v>3</v>
      </c>
      <c r="F12" s="41" t="s">
        <v>4</v>
      </c>
      <c r="G12" s="41" t="s">
        <v>5</v>
      </c>
      <c r="K12" s="18" t="e">
        <f t="shared" si="1"/>
        <v>#REF!</v>
      </c>
      <c r="L12" s="19" t="s">
        <v>33</v>
      </c>
    </row>
    <row r="13" spans="1:13" s="3" customFormat="1" ht="14.45" x14ac:dyDescent="0.3">
      <c r="A13" s="42">
        <v>42550</v>
      </c>
      <c r="B13" s="42">
        <v>42582</v>
      </c>
      <c r="C13" s="31"/>
      <c r="D13" s="32"/>
      <c r="E13" s="33">
        <f>VLOOKUP($C$4,Ratesvgs,2,FALSE)</f>
        <v>24.61</v>
      </c>
      <c r="F13" s="33">
        <f>IF(E13-D13&gt;0,E13-D13,0)</f>
        <v>24.61</v>
      </c>
      <c r="G13" s="33">
        <f>F13*C13</f>
        <v>0</v>
      </c>
      <c r="K13" s="18" t="e">
        <f t="shared" si="1"/>
        <v>#REF!</v>
      </c>
      <c r="L13" s="19" t="s">
        <v>34</v>
      </c>
    </row>
    <row r="14" spans="1:13" s="3" customFormat="1" ht="14.45" x14ac:dyDescent="0.3">
      <c r="A14" s="42">
        <f>B13+1</f>
        <v>42583</v>
      </c>
      <c r="B14" s="42">
        <v>42766</v>
      </c>
      <c r="C14" s="31"/>
      <c r="D14" s="32"/>
      <c r="E14" s="33">
        <f>VLOOKUP($C$4,Ratesvgs,3,FALSE)</f>
        <v>24.61</v>
      </c>
      <c r="F14" s="33">
        <f t="shared" ref="F14:F17" si="2">IF(E14-D14&gt;0,E14-D14,0)</f>
        <v>24.61</v>
      </c>
      <c r="G14" s="33">
        <f t="shared" ref="G14:G17" si="3">F14*C14</f>
        <v>0</v>
      </c>
      <c r="K14" s="18" t="e">
        <f t="shared" si="1"/>
        <v>#REF!</v>
      </c>
      <c r="L14" s="19" t="s">
        <v>35</v>
      </c>
    </row>
    <row r="15" spans="1:13" s="3" customFormat="1" ht="14.45" x14ac:dyDescent="0.3">
      <c r="A15" s="42">
        <f t="shared" ref="A15:A17" si="4">B14+1</f>
        <v>42767</v>
      </c>
      <c r="B15" s="42">
        <v>42916</v>
      </c>
      <c r="C15" s="31"/>
      <c r="D15" s="32"/>
      <c r="E15" s="33">
        <f>VLOOKUP($C$4,Ratesvgs,4,FALSE)</f>
        <v>24.61</v>
      </c>
      <c r="F15" s="33">
        <f t="shared" si="2"/>
        <v>24.61</v>
      </c>
      <c r="G15" s="33">
        <f t="shared" si="3"/>
        <v>0</v>
      </c>
      <c r="K15" s="18" t="e">
        <f t="shared" si="1"/>
        <v>#REF!</v>
      </c>
      <c r="L15" s="19" t="s">
        <v>36</v>
      </c>
    </row>
    <row r="16" spans="1:13" s="3" customFormat="1" ht="14.45" x14ac:dyDescent="0.3">
      <c r="A16" s="42">
        <f t="shared" si="4"/>
        <v>42917</v>
      </c>
      <c r="B16" s="42">
        <v>42947</v>
      </c>
      <c r="C16" s="31"/>
      <c r="D16" s="32"/>
      <c r="E16" s="33">
        <f>VLOOKUP($C$4,Ratesvgs,5,FALSE)</f>
        <v>27</v>
      </c>
      <c r="F16" s="33">
        <f t="shared" si="2"/>
        <v>27</v>
      </c>
      <c r="G16" s="33">
        <f t="shared" si="3"/>
        <v>0</v>
      </c>
      <c r="K16" s="18" t="e">
        <f t="shared" si="1"/>
        <v>#REF!</v>
      </c>
      <c r="L16" s="19" t="s">
        <v>37</v>
      </c>
    </row>
    <row r="17" spans="1:12" s="3" customFormat="1" x14ac:dyDescent="0.25">
      <c r="A17" s="42">
        <f t="shared" si="4"/>
        <v>42948</v>
      </c>
      <c r="B17" s="43" t="s">
        <v>6</v>
      </c>
      <c r="C17" s="31"/>
      <c r="D17" s="32"/>
      <c r="E17" s="33">
        <f>VLOOKUP($C$4,Ratesvgs,6,FALSE)</f>
        <v>27.4</v>
      </c>
      <c r="F17" s="33">
        <f t="shared" si="2"/>
        <v>27.4</v>
      </c>
      <c r="G17" s="33">
        <f t="shared" si="3"/>
        <v>0</v>
      </c>
      <c r="K17" s="18" t="e">
        <f t="shared" si="1"/>
        <v>#REF!</v>
      </c>
      <c r="L17" s="19" t="s">
        <v>38</v>
      </c>
    </row>
    <row r="18" spans="1:12" s="12" customFormat="1" ht="15.75" x14ac:dyDescent="0.25">
      <c r="A18" s="34"/>
      <c r="B18" s="34"/>
      <c r="C18" s="34"/>
      <c r="D18" s="34"/>
      <c r="E18" s="34"/>
      <c r="F18" s="35" t="s">
        <v>8</v>
      </c>
      <c r="G18" s="36">
        <f>SUM(G13:G17)</f>
        <v>0</v>
      </c>
      <c r="K18" s="18" t="e">
        <f t="shared" si="1"/>
        <v>#REF!</v>
      </c>
      <c r="L18" s="19" t="s">
        <v>39</v>
      </c>
    </row>
    <row r="19" spans="1:12" s="3" customFormat="1" x14ac:dyDescent="0.25">
      <c r="A19" s="44"/>
      <c r="B19" s="44"/>
      <c r="C19" s="44"/>
      <c r="D19" s="44"/>
      <c r="E19" s="44"/>
      <c r="F19" s="44"/>
      <c r="G19" s="44"/>
      <c r="K19" s="18" t="e">
        <f t="shared" si="1"/>
        <v>#REF!</v>
      </c>
      <c r="L19" s="19" t="s">
        <v>40</v>
      </c>
    </row>
    <row r="20" spans="1:12" s="3" customFormat="1" x14ac:dyDescent="0.25">
      <c r="A20" s="45" t="s">
        <v>13</v>
      </c>
      <c r="B20" s="44"/>
      <c r="C20" s="44"/>
      <c r="D20" s="44"/>
      <c r="E20" s="44"/>
      <c r="F20" s="44"/>
      <c r="G20" s="44"/>
      <c r="K20" s="18" t="e">
        <f t="shared" si="1"/>
        <v>#REF!</v>
      </c>
      <c r="L20" s="19" t="s">
        <v>41</v>
      </c>
    </row>
    <row r="21" spans="1:12" s="3" customFormat="1" x14ac:dyDescent="0.25">
      <c r="A21" s="37" t="s">
        <v>9</v>
      </c>
      <c r="B21" s="38">
        <v>42552</v>
      </c>
      <c r="C21" s="38">
        <v>42583</v>
      </c>
      <c r="D21" s="38">
        <v>42767</v>
      </c>
      <c r="E21" s="38">
        <v>42917</v>
      </c>
      <c r="F21" s="38">
        <v>42948</v>
      </c>
      <c r="G21" s="40"/>
      <c r="K21" s="18" t="e">
        <f t="shared" si="1"/>
        <v>#REF!</v>
      </c>
      <c r="L21" s="19" t="s">
        <v>42</v>
      </c>
    </row>
    <row r="22" spans="1:12" s="3" customFormat="1" x14ac:dyDescent="0.25">
      <c r="A22" s="37">
        <v>1.1000000000000001</v>
      </c>
      <c r="B22" s="33">
        <f>ROUND(B35*1.25,2)</f>
        <v>24.61</v>
      </c>
      <c r="C22" s="33">
        <f t="shared" ref="C22:F22" si="5">ROUND(C35*1.25,2)</f>
        <v>24.61</v>
      </c>
      <c r="D22" s="33">
        <f t="shared" si="5"/>
        <v>24.61</v>
      </c>
      <c r="E22" s="33">
        <f t="shared" si="5"/>
        <v>27</v>
      </c>
      <c r="F22" s="33">
        <f t="shared" si="5"/>
        <v>27.4</v>
      </c>
      <c r="G22" s="44"/>
      <c r="K22" s="18" t="e">
        <f t="shared" si="1"/>
        <v>#REF!</v>
      </c>
      <c r="L22" s="19" t="s">
        <v>43</v>
      </c>
    </row>
    <row r="23" spans="1:12" s="3" customFormat="1" x14ac:dyDescent="0.25">
      <c r="A23" s="37">
        <v>1.2</v>
      </c>
      <c r="B23" s="33">
        <f t="shared" ref="B23:F30" si="6">ROUND(B36*1.25,2)</f>
        <v>24.8</v>
      </c>
      <c r="C23" s="33">
        <f t="shared" si="6"/>
        <v>24.8</v>
      </c>
      <c r="D23" s="33">
        <f t="shared" si="6"/>
        <v>24.8</v>
      </c>
      <c r="E23" s="33">
        <f t="shared" si="6"/>
        <v>27.55</v>
      </c>
      <c r="F23" s="33">
        <f t="shared" si="6"/>
        <v>27.96</v>
      </c>
      <c r="G23" s="40"/>
      <c r="K23" s="18" t="e">
        <f t="shared" si="1"/>
        <v>#REF!</v>
      </c>
      <c r="L23" s="20"/>
    </row>
    <row r="24" spans="1:12" s="3" customFormat="1" x14ac:dyDescent="0.25">
      <c r="A24" s="37">
        <v>1.3</v>
      </c>
      <c r="B24" s="33">
        <f t="shared" si="6"/>
        <v>24.98</v>
      </c>
      <c r="C24" s="33">
        <f t="shared" si="6"/>
        <v>24.98</v>
      </c>
      <c r="D24" s="33">
        <f t="shared" si="6"/>
        <v>24.98</v>
      </c>
      <c r="E24" s="33">
        <f t="shared" si="6"/>
        <v>28.1</v>
      </c>
      <c r="F24" s="33">
        <f t="shared" si="6"/>
        <v>28.53</v>
      </c>
      <c r="G24" s="40"/>
      <c r="K24" s="18" t="e">
        <f t="shared" si="1"/>
        <v>#REF!</v>
      </c>
      <c r="L24" s="20"/>
    </row>
    <row r="25" spans="1:12" s="3" customFormat="1" x14ac:dyDescent="0.25">
      <c r="A25" s="37">
        <v>1.4</v>
      </c>
      <c r="B25" s="33">
        <f t="shared" si="6"/>
        <v>25.15</v>
      </c>
      <c r="C25" s="33">
        <f t="shared" si="6"/>
        <v>25.15</v>
      </c>
      <c r="D25" s="33">
        <f t="shared" si="6"/>
        <v>25.15</v>
      </c>
      <c r="E25" s="33">
        <f t="shared" si="6"/>
        <v>28.65</v>
      </c>
      <c r="F25" s="33">
        <f t="shared" si="6"/>
        <v>29.08</v>
      </c>
      <c r="G25" s="40"/>
      <c r="K25" s="18" t="e">
        <f t="shared" si="1"/>
        <v>#REF!</v>
      </c>
      <c r="L25" s="20"/>
    </row>
    <row r="26" spans="1:12" s="3" customFormat="1" x14ac:dyDescent="0.25">
      <c r="A26" s="37">
        <v>1.5</v>
      </c>
      <c r="B26" s="33">
        <f t="shared" si="6"/>
        <v>25.15</v>
      </c>
      <c r="C26" s="33">
        <f t="shared" si="6"/>
        <v>25.15</v>
      </c>
      <c r="D26" s="33">
        <f t="shared" si="6"/>
        <v>25.15</v>
      </c>
      <c r="E26" s="33">
        <f t="shared" si="6"/>
        <v>29.2</v>
      </c>
      <c r="F26" s="33">
        <f t="shared" si="6"/>
        <v>29.64</v>
      </c>
      <c r="G26" s="40"/>
      <c r="K26" s="18" t="e">
        <f t="shared" si="1"/>
        <v>#REF!</v>
      </c>
      <c r="L26" s="20"/>
    </row>
    <row r="27" spans="1:12" s="3" customFormat="1" x14ac:dyDescent="0.25">
      <c r="A27" s="37">
        <v>2.1</v>
      </c>
      <c r="B27" s="33">
        <f t="shared" si="6"/>
        <v>25.15</v>
      </c>
      <c r="C27" s="33">
        <f t="shared" si="6"/>
        <v>25.15</v>
      </c>
      <c r="D27" s="33">
        <f t="shared" si="6"/>
        <v>25.15</v>
      </c>
      <c r="E27" s="33">
        <f t="shared" si="6"/>
        <v>29.75</v>
      </c>
      <c r="F27" s="33">
        <f t="shared" si="6"/>
        <v>30.2</v>
      </c>
      <c r="G27" s="40"/>
      <c r="L27" s="20"/>
    </row>
    <row r="28" spans="1:12" x14ac:dyDescent="0.25">
      <c r="A28" s="37" t="s">
        <v>10</v>
      </c>
      <c r="B28" s="33">
        <f t="shared" si="6"/>
        <v>25.15</v>
      </c>
      <c r="C28" s="33">
        <f t="shared" si="6"/>
        <v>25.15</v>
      </c>
      <c r="D28" s="33">
        <f t="shared" si="6"/>
        <v>25.15</v>
      </c>
      <c r="E28" s="33">
        <f t="shared" si="6"/>
        <v>30.99</v>
      </c>
      <c r="F28" s="33">
        <f t="shared" si="6"/>
        <v>31.46</v>
      </c>
      <c r="G28" s="39"/>
    </row>
    <row r="29" spans="1:12" x14ac:dyDescent="0.25">
      <c r="A29" s="37" t="s">
        <v>11</v>
      </c>
      <c r="B29" s="33">
        <f t="shared" si="6"/>
        <v>25.15</v>
      </c>
      <c r="C29" s="33">
        <f t="shared" si="6"/>
        <v>25.15</v>
      </c>
      <c r="D29" s="33">
        <f t="shared" si="6"/>
        <v>25.15</v>
      </c>
      <c r="E29" s="33">
        <f t="shared" si="6"/>
        <v>31.46</v>
      </c>
      <c r="F29" s="33">
        <f t="shared" si="6"/>
        <v>31.94</v>
      </c>
      <c r="G29" s="39"/>
    </row>
    <row r="30" spans="1:12" x14ac:dyDescent="0.25">
      <c r="A30" s="37" t="s">
        <v>12</v>
      </c>
      <c r="B30" s="33">
        <f t="shared" si="6"/>
        <v>25.15</v>
      </c>
      <c r="C30" s="33">
        <f t="shared" si="6"/>
        <v>25.15</v>
      </c>
      <c r="D30" s="33">
        <f t="shared" si="6"/>
        <v>25.15</v>
      </c>
      <c r="E30" s="33">
        <f t="shared" si="6"/>
        <v>31.94</v>
      </c>
      <c r="F30" s="33">
        <f t="shared" si="6"/>
        <v>32.409999999999997</v>
      </c>
      <c r="G30" s="39"/>
    </row>
    <row r="31" spans="1:12" x14ac:dyDescent="0.25">
      <c r="A31" s="39"/>
      <c r="B31" s="39"/>
      <c r="C31" s="39"/>
      <c r="D31" s="39"/>
      <c r="E31" s="39"/>
      <c r="F31" s="39"/>
      <c r="G31" s="39"/>
    </row>
    <row r="33" spans="1:18" ht="14.45" hidden="1" x14ac:dyDescent="0.3">
      <c r="A33" s="13" t="s">
        <v>14</v>
      </c>
      <c r="B33" s="4"/>
      <c r="C33" s="4"/>
      <c r="D33" s="4"/>
      <c r="E33" s="4"/>
      <c r="F33" s="4"/>
    </row>
    <row r="34" spans="1:18" ht="14.45" hidden="1" x14ac:dyDescent="0.3">
      <c r="A34" s="14" t="s">
        <v>9</v>
      </c>
      <c r="B34" s="15">
        <v>42552</v>
      </c>
      <c r="C34" s="15">
        <v>42583</v>
      </c>
      <c r="D34" s="15">
        <v>42767</v>
      </c>
      <c r="E34" s="15">
        <v>42917</v>
      </c>
      <c r="F34" s="15">
        <v>42948</v>
      </c>
      <c r="O34">
        <v>2016</v>
      </c>
      <c r="P34" t="s">
        <v>55</v>
      </c>
      <c r="Q34" t="s">
        <v>56</v>
      </c>
      <c r="R34" t="s">
        <v>57</v>
      </c>
    </row>
    <row r="35" spans="1:18" ht="14.45" hidden="1" x14ac:dyDescent="0.3">
      <c r="A35" s="14">
        <v>1.1000000000000001</v>
      </c>
      <c r="B35" s="8">
        <v>19.690000000000001</v>
      </c>
      <c r="C35" s="8">
        <f>B35</f>
        <v>19.690000000000001</v>
      </c>
      <c r="D35" s="8">
        <f>C35</f>
        <v>19.690000000000001</v>
      </c>
      <c r="E35" s="8">
        <v>21.6</v>
      </c>
      <c r="F35" s="8">
        <v>21.92</v>
      </c>
      <c r="G35" s="16"/>
      <c r="O35">
        <v>3</v>
      </c>
      <c r="P35">
        <v>39043</v>
      </c>
      <c r="Q35">
        <f>P35/52.18</f>
        <v>748.23687236489081</v>
      </c>
      <c r="R35">
        <f>ROUND(P35/52.18/38,2)</f>
        <v>19.690000000000001</v>
      </c>
    </row>
    <row r="36" spans="1:18" ht="14.45" hidden="1" x14ac:dyDescent="0.3">
      <c r="A36" s="14">
        <v>1.2</v>
      </c>
      <c r="B36" s="17">
        <v>19.84</v>
      </c>
      <c r="C36" s="8">
        <f t="shared" ref="C36:D43" si="7">B36</f>
        <v>19.84</v>
      </c>
      <c r="D36" s="8">
        <f t="shared" si="7"/>
        <v>19.84</v>
      </c>
      <c r="E36" s="17">
        <v>22.04</v>
      </c>
      <c r="F36" s="17">
        <v>22.37</v>
      </c>
      <c r="G36" s="16"/>
      <c r="O36">
        <v>4</v>
      </c>
      <c r="P36">
        <v>39337</v>
      </c>
      <c r="Q36">
        <f t="shared" ref="Q36:Q38" si="8">P36/52.18</f>
        <v>753.87121502491379</v>
      </c>
      <c r="R36">
        <f t="shared" ref="R36:R38" si="9">ROUND(P36/52.18/38,2)</f>
        <v>19.84</v>
      </c>
    </row>
    <row r="37" spans="1:18" ht="14.45" hidden="1" x14ac:dyDescent="0.3">
      <c r="A37" s="14">
        <v>1.3</v>
      </c>
      <c r="B37" s="17">
        <v>19.98</v>
      </c>
      <c r="C37" s="8">
        <f t="shared" si="7"/>
        <v>19.98</v>
      </c>
      <c r="D37" s="8">
        <f t="shared" si="7"/>
        <v>19.98</v>
      </c>
      <c r="E37" s="17">
        <v>22.48</v>
      </c>
      <c r="F37" s="17">
        <v>22.82</v>
      </c>
      <c r="G37" s="16"/>
      <c r="O37">
        <v>5</v>
      </c>
      <c r="P37">
        <v>39609</v>
      </c>
      <c r="Q37">
        <f t="shared" si="8"/>
        <v>759.08394020697585</v>
      </c>
      <c r="R37">
        <f t="shared" si="9"/>
        <v>19.98</v>
      </c>
    </row>
    <row r="38" spans="1:18" ht="14.45" hidden="1" x14ac:dyDescent="0.3">
      <c r="A38" s="14">
        <v>1.4</v>
      </c>
      <c r="B38" s="17">
        <v>20.12</v>
      </c>
      <c r="C38" s="8">
        <f t="shared" si="7"/>
        <v>20.12</v>
      </c>
      <c r="D38" s="8">
        <f t="shared" si="7"/>
        <v>20.12</v>
      </c>
      <c r="E38" s="17">
        <v>22.92</v>
      </c>
      <c r="F38" s="17">
        <v>23.26</v>
      </c>
      <c r="G38" s="16"/>
      <c r="O38">
        <v>6</v>
      </c>
      <c r="P38">
        <v>39898</v>
      </c>
      <c r="Q38">
        <f t="shared" si="8"/>
        <v>764.62246071291679</v>
      </c>
      <c r="R38">
        <f t="shared" si="9"/>
        <v>20.12</v>
      </c>
    </row>
    <row r="39" spans="1:18" ht="14.45" hidden="1" x14ac:dyDescent="0.3">
      <c r="A39" s="14">
        <v>1.5</v>
      </c>
      <c r="B39" s="17">
        <v>20.12</v>
      </c>
      <c r="C39" s="8">
        <f t="shared" si="7"/>
        <v>20.12</v>
      </c>
      <c r="D39" s="8">
        <f t="shared" si="7"/>
        <v>20.12</v>
      </c>
      <c r="E39" s="17">
        <v>23.36</v>
      </c>
      <c r="F39" s="17">
        <v>23.71</v>
      </c>
      <c r="G39" s="16"/>
    </row>
    <row r="40" spans="1:18" ht="14.45" hidden="1" x14ac:dyDescent="0.3">
      <c r="A40" s="14">
        <v>2.1</v>
      </c>
      <c r="B40" s="17">
        <v>20.12</v>
      </c>
      <c r="C40" s="8">
        <f t="shared" si="7"/>
        <v>20.12</v>
      </c>
      <c r="D40" s="8">
        <f t="shared" si="7"/>
        <v>20.12</v>
      </c>
      <c r="E40" s="17">
        <v>23.8</v>
      </c>
      <c r="F40" s="17">
        <v>24.16</v>
      </c>
      <c r="G40" s="16"/>
      <c r="O40">
        <v>2016</v>
      </c>
      <c r="P40" t="s">
        <v>55</v>
      </c>
      <c r="Q40" t="s">
        <v>56</v>
      </c>
      <c r="R40" t="s">
        <v>57</v>
      </c>
    </row>
    <row r="41" spans="1:18" ht="14.45" hidden="1" x14ac:dyDescent="0.3">
      <c r="A41" s="14" t="s">
        <v>10</v>
      </c>
      <c r="B41" s="17">
        <v>20.12</v>
      </c>
      <c r="C41" s="8">
        <f t="shared" si="7"/>
        <v>20.12</v>
      </c>
      <c r="D41" s="8">
        <f t="shared" si="7"/>
        <v>20.12</v>
      </c>
      <c r="E41" s="17">
        <v>24.79</v>
      </c>
      <c r="F41" s="17">
        <v>25.17</v>
      </c>
      <c r="G41" s="16"/>
      <c r="O41">
        <v>3</v>
      </c>
      <c r="P41">
        <v>40331</v>
      </c>
      <c r="Q41">
        <f>P41/52.18</f>
        <v>772.92065925642009</v>
      </c>
      <c r="R41">
        <f>ROUND(P41/52.18/38,2)</f>
        <v>20.34</v>
      </c>
    </row>
    <row r="42" spans="1:18" ht="14.45" hidden="1" x14ac:dyDescent="0.3">
      <c r="A42" s="14" t="s">
        <v>11</v>
      </c>
      <c r="B42" s="17">
        <v>20.12</v>
      </c>
      <c r="C42" s="8">
        <f t="shared" si="7"/>
        <v>20.12</v>
      </c>
      <c r="D42" s="8">
        <f t="shared" si="7"/>
        <v>20.12</v>
      </c>
      <c r="E42" s="17">
        <v>25.17</v>
      </c>
      <c r="F42" s="17">
        <v>25.55</v>
      </c>
      <c r="G42" s="16"/>
      <c r="O42">
        <v>4</v>
      </c>
      <c r="P42">
        <v>40635</v>
      </c>
      <c r="Q42">
        <f t="shared" ref="Q42:Q44" si="10">P42/52.18</f>
        <v>778.74664622460716</v>
      </c>
      <c r="R42">
        <f t="shared" ref="R42:R44" si="11">ROUND(P42/52.18/38,2)</f>
        <v>20.49</v>
      </c>
    </row>
    <row r="43" spans="1:18" ht="14.45" hidden="1" x14ac:dyDescent="0.3">
      <c r="A43" s="14" t="s">
        <v>12</v>
      </c>
      <c r="B43" s="17">
        <v>20.12</v>
      </c>
      <c r="C43" s="8">
        <f t="shared" si="7"/>
        <v>20.12</v>
      </c>
      <c r="D43" s="8">
        <f t="shared" si="7"/>
        <v>20.12</v>
      </c>
      <c r="E43" s="17">
        <v>25.55</v>
      </c>
      <c r="F43" s="17">
        <v>25.93</v>
      </c>
      <c r="G43" s="16"/>
      <c r="O43">
        <v>5</v>
      </c>
      <c r="P43">
        <v>40916</v>
      </c>
      <c r="Q43">
        <f t="shared" si="10"/>
        <v>784.13185128401688</v>
      </c>
      <c r="R43">
        <f t="shared" si="11"/>
        <v>20.64</v>
      </c>
    </row>
    <row r="44" spans="1:18" ht="14.45" hidden="1" x14ac:dyDescent="0.3">
      <c r="O44">
        <v>6</v>
      </c>
      <c r="P44">
        <v>41215</v>
      </c>
      <c r="Q44">
        <f t="shared" si="10"/>
        <v>789.8620160981219</v>
      </c>
      <c r="R44">
        <f t="shared" si="11"/>
        <v>20.79</v>
      </c>
    </row>
  </sheetData>
  <sheetProtection password="CC6F" sheet="1" objects="1" scenarios="1"/>
  <mergeCells count="3">
    <mergeCell ref="C3:D3"/>
    <mergeCell ref="A4:B4"/>
    <mergeCell ref="A1:M1"/>
  </mergeCells>
  <dataValidations count="1">
    <dataValidation type="list" allowBlank="1" showInputMessage="1" showErrorMessage="1" sqref="C4">
      <formula1>Level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Master</vt:lpstr>
      <vt:lpstr>VGSEC</vt:lpstr>
      <vt:lpstr>VGSEC!Level</vt:lpstr>
      <vt:lpstr>Level</vt:lpstr>
      <vt:lpstr>VGSEC!Rate</vt:lpstr>
      <vt:lpstr>Rate</vt:lpstr>
      <vt:lpstr>Ratesvgs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Haesler</dc:creator>
  <cp:lastModifiedBy>Anu</cp:lastModifiedBy>
  <dcterms:created xsi:type="dcterms:W3CDTF">2017-08-07T00:34:13Z</dcterms:created>
  <dcterms:modified xsi:type="dcterms:W3CDTF">2017-08-24T03:26:08Z</dcterms:modified>
</cp:coreProperties>
</file>